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<sst xmlns="http://schemas.openxmlformats.org/spreadsheetml/2006/main" count="1423" uniqueCount="258">
  <si>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</si>
  <si>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</si>
  <si>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</si>
  <si>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</si>
  <si>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</si>
  <si>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</si>
  <si>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</si>
  <si>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</si>
  <si>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</si>
  <si>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</si>
  <si>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</si>
  <si>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</si>
  <si>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</si>
  <si>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</si>
  <si>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</si>
  <si>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</si>
  <si>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</si>
  <si>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</si>
  <si>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</si>
  <si>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</si>
  <si>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</si>
  <si>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</si>
  <si>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</si>
  <si>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</si>
  <si>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</si>
  <si>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</si>
  <si>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</si>
  <si>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</si>
  <si>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</si>
  <si>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</si>
  <si>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</si>
  <si>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</si>
  <si>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</si>
  <si>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</si>
  <si>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</si>
  <si>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</si>
  <si>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</si>
  <si>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</si>
  <si>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</si>
  <si>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</si>
  <si>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</si>
  <si>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</si>
  <si>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</si>
  <si>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</si>
  <si>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</si>
  <si>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</si>
  <si>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</si>
  <si>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</si>
  <si>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</si>
  <si>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</si>
  <si>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</si>
  <si>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</si>
  <si>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</si>
  <si>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</si>
  <si>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</si>
  <si>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</si>
  <si>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</si>
  <si>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</si>
  <si>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</si>
  <si>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</si>
  <si>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</si>
  <si>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</si>
  <si>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</si>
  <si>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</si>
  <si>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</si>
  <si>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</si>
  <si>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</si>
  <si>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</si>
  <si>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</si>
  <si>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</si>
  <si>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</si>
  <si>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</si>
  <si>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</si>
  <si>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</si>
  <si>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</si>
  <si>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</si>
  <si>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</si>
  <si>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</si>
  <si>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</si>
  <si>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</si>
  <si>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</si>
  <si>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</si>
  <si>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</si>
  <si>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</si>
  <si>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</si>
  <si>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</si>
  <si>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</si>
  <si>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</si>
  <si>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</si>
  <si>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</si>
  <si>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</si>
  <si>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</si>
  <si>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</si>
  <si>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</si>
  <si>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</si>
  <si>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</si>
  <si>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</si>
  <si>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</si>
  <si>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</si>
  <si>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</si>
  <si>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</si>
  <si>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</si>
  <si>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</si>
  <si>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</si>
  <si>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</si>
  <si>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</si>
  <si>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</si>
  <si>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</si>
  <si>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</si>
  <si>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</si>
  <si>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</si>
  <si>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</si>
  <si>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</si>
  <si>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</si>
  <si>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</si>
  <si>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</si>
  <si>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</si>
  <si>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</si>
  <si>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</si>
  <si>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</si>
  <si>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</si>
  <si>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</si>
  <si>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</si>
  <si>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</si>
  <si>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</si>
  <si>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</si>
  <si>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</si>
  <si>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</si>
  <si>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</si>
  <si>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</si>
  <si>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</si>
  <si>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</si>
  <si>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</si>
  <si>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</si>
  <si>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</si>
  <si>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</si>
  <si>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</si>
  <si>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</si>
  <si>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</si>
  <si>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</si>
  <si>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</si>
  <si>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</si>
  <si>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</si>
  <si>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</si>
  <si>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</si>
  <si>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</si>
  <si>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</si>
  <si>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</si>
  <si>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</si>
  <si>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</si>
  <si>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</si>
  <si>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</si>
  <si>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</si>
  <si>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</si>
  <si>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</si>
  <si>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</si>
  <si>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</si>
  <si>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</si>
  <si>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</si>
  <si>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</si>
  <si>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</si>
  <si>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</si>
  <si>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</si>
  <si>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</si>
  <si>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</si>
  <si>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</si>
  <si>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</si>
  <si>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</si>
  <si>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</si>
  <si>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</si>
  <si>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</si>
  <si>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</si>
  <si>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</si>
  <si>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</si>
  <si>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</si>
  <si>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</si>
  <si>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</si>
  <si>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</si>
  <si>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</si>
  <si>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</si>
  <si>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</si>
  <si>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</si>
  <si>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</si>
  <si>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</si>
  <si>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</si>
  <si>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</si>
  <si>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</si>
  <si>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</si>
  <si>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</si>
  <si>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</si>
  <si>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</si>
  <si>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</si>
  <si>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</si>
  <si>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</si>
  <si>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</si>
  <si>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</si>
  <si>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</si>
  <si>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</si>
  <si>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</si>
  <si>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</si>
  <si>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</si>
  <si>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</si>
  <si>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</si>
  <si>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</si>
  <si>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</si>
  <si>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</si>
  <si>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</si>
  <si>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</si>
  <si>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</si>
  <si>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</si>
  <si>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</si>
  <si>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</si>
  <si>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</si>
  <si>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</si>
  <si>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</si>
  <si>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</si>
  <si>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</si>
  <si>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</si>
  <si>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</si>
  <si>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</si>
  <si>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</si>
  <si>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</si>
  <si>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</si>
  <si>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</si>
  <si>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</si>
  <si>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</si>
  <si>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</si>
  <si>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</si>
  <si>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</si>
  <si>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</si>
  <si>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</si>
  <si>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</si>
  <si>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</si>
  <si>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</si>
  <si>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</si>
  <si>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</si>
  <si>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</si>
  <si>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</si>
  <si>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</si>
  <si>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</si>
  <si>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</si>
  <si>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</si>
  <si>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</si>
  <si>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</si>
  <si>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</si>
  <si>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</si>
  <si>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</si>
  <si>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</si>
  <si>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</si>
  <si>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</si>
  <si>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</si>
  <si>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</si>
  <si>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</si>
  <si>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</si>
  <si>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</si>
  <si>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</si>
  <si>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</si>
  <si>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18.07.14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</si>
</sst>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37531634.86999999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248084.58</v>
      </c>
      <c r="G8" s="22">
        <f aca="true" t="shared" si="0" ref="G8:G30">F8-E8</f>
        <v>-23150.129999999976</v>
      </c>
      <c r="H8" s="51">
        <f>F8/E8*100</f>
        <v>91.46490875006374</v>
      </c>
      <c r="I8" s="36">
        <f aca="true" t="shared" si="1" ref="I8:I17">F8-D8</f>
        <v>-240391.72</v>
      </c>
      <c r="J8" s="36">
        <f aca="true" t="shared" si="2" ref="J8:J14">F8/D8*100</f>
        <v>50.78743431359924</v>
      </c>
      <c r="K8" s="36">
        <f>F8-267884.5</f>
        <v>-19799.920000000013</v>
      </c>
      <c r="L8" s="136">
        <f>F8/267884.5</f>
        <v>0.926087847561169</v>
      </c>
      <c r="M8" s="22">
        <f>M10+M19+M33+M56+M68+M30</f>
        <v>37968.180000000015</v>
      </c>
      <c r="N8" s="22">
        <f>N10+N19+N33+N56+N68+N30</f>
        <v>21665.559999999994</v>
      </c>
      <c r="O8" s="36">
        <f aca="true" t="shared" si="3" ref="O8:O71">N8-M8</f>
        <v>-16302.62000000002</v>
      </c>
      <c r="P8" s="36">
        <f>F8/M8*100</f>
        <v>653.4012955058681</v>
      </c>
      <c r="Q8" s="36">
        <f>N8-39945.7</f>
        <v>-18280.140000000003</v>
      </c>
      <c r="R8" s="134">
        <f>N8/39945.7</f>
        <v>0.5423752744350455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202424.78</v>
      </c>
      <c r="G9" s="22">
        <f t="shared" si="0"/>
        <v>202424.78</v>
      </c>
      <c r="H9" s="20"/>
      <c r="I9" s="56">
        <f t="shared" si="1"/>
        <v>-184588.42</v>
      </c>
      <c r="J9" s="56">
        <f t="shared" si="2"/>
        <v>52.30436067813707</v>
      </c>
      <c r="K9" s="56"/>
      <c r="L9" s="135"/>
      <c r="M9" s="20">
        <f>M10+M17</f>
        <v>30824.800000000017</v>
      </c>
      <c r="N9" s="20">
        <f>N10+N17</f>
        <v>19426.649999999994</v>
      </c>
      <c r="O9" s="36">
        <f t="shared" si="3"/>
        <v>-11398.150000000023</v>
      </c>
      <c r="P9" s="56">
        <f>F9/M9*100</f>
        <v>656.6945446523575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202424.78</v>
      </c>
      <c r="G10" s="49">
        <f t="shared" si="0"/>
        <v>-18946.320000000007</v>
      </c>
      <c r="H10" s="40">
        <f aca="true" t="shared" si="4" ref="H10:H17">F10/E10*100</f>
        <v>91.44137604231085</v>
      </c>
      <c r="I10" s="56">
        <f t="shared" si="1"/>
        <v>-184588.42</v>
      </c>
      <c r="J10" s="56">
        <f t="shared" si="2"/>
        <v>52.30436067813707</v>
      </c>
      <c r="K10" s="141">
        <f>F10-211325.8</f>
        <v>-8901.01999999999</v>
      </c>
      <c r="L10" s="142">
        <f>F10/211325.8</f>
        <v>0.9578801073981502</v>
      </c>
      <c r="M10" s="40">
        <f>E10-червень!E10</f>
        <v>30824.800000000017</v>
      </c>
      <c r="N10" s="40">
        <f>F10-червень!F10</f>
        <v>19426.649999999994</v>
      </c>
      <c r="O10" s="53">
        <f t="shared" si="3"/>
        <v>-11398.150000000023</v>
      </c>
      <c r="P10" s="56">
        <f aca="true" t="shared" si="5" ref="P10:P17">N10/M10*100</f>
        <v>63.02279333523651</v>
      </c>
      <c r="Q10" s="141">
        <f>N10-32192.1</f>
        <v>-12765.450000000004</v>
      </c>
      <c r="R10" s="142">
        <f>N10/32192.1</f>
        <v>0.6034601656928251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336.76</v>
      </c>
      <c r="G19" s="49">
        <f t="shared" si="0"/>
        <v>-696.8399999999999</v>
      </c>
      <c r="H19" s="40">
        <f aca="true" t="shared" si="6" ref="H19:H29">F19/E19*100</f>
        <v>32.58126934984521</v>
      </c>
      <c r="I19" s="56">
        <f aca="true" t="shared" si="7" ref="I19:I29">F19-D19</f>
        <v>-663.24</v>
      </c>
      <c r="J19" s="56">
        <f aca="true" t="shared" si="8" ref="J19:J29">F19/D19*100</f>
        <v>33.676</v>
      </c>
      <c r="K19" s="56">
        <f>F19-6042.8</f>
        <v>-5706.04</v>
      </c>
      <c r="L19" s="135">
        <f>F19/6042.8</f>
        <v>0.05572913219037532</v>
      </c>
      <c r="M19" s="40">
        <f>E19-червень!E19</f>
        <v>10.999999999999886</v>
      </c>
      <c r="N19" s="40">
        <f>F19-червень!F19</f>
        <v>18.889999999999986</v>
      </c>
      <c r="O19" s="53">
        <f t="shared" si="3"/>
        <v>7.8900000000001</v>
      </c>
      <c r="P19" s="56">
        <f aca="true" t="shared" si="9" ref="P19:P29">N19/M19*100</f>
        <v>171.72727272727437</v>
      </c>
      <c r="Q19" s="56">
        <f>N19-422.4</f>
        <v>-403.51</v>
      </c>
      <c r="R19" s="135">
        <f>N19/422.4</f>
        <v>0.04472064393939391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2.91+0.02</f>
        <v>2.93</v>
      </c>
      <c r="G30" s="49">
        <f t="shared" si="0"/>
        <v>-15.57</v>
      </c>
      <c r="H30" s="40"/>
      <c r="I30" s="56"/>
      <c r="J30" s="56"/>
      <c r="K30" s="56">
        <f>F30-25.1</f>
        <v>-22.17</v>
      </c>
      <c r="L30" s="149">
        <f>F30/25.1</f>
        <v>0.11673306772908366</v>
      </c>
      <c r="M30" s="40">
        <f>E30-червень!E30</f>
        <v>0.5</v>
      </c>
      <c r="N30" s="40">
        <f>F30-червень!F30</f>
        <v>0.020000000000000018</v>
      </c>
      <c r="O30" s="53">
        <f t="shared" si="3"/>
        <v>-0.48</v>
      </c>
      <c r="P30" s="56"/>
      <c r="Q30" s="56">
        <f>N30-0</f>
        <v>0.020000000000000018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41575.27</v>
      </c>
      <c r="G33" s="49">
        <f aca="true" t="shared" si="14" ref="G33:G72">F33-E33</f>
        <v>-3285.840000000004</v>
      </c>
      <c r="H33" s="40">
        <f aca="true" t="shared" si="15" ref="H33:H67">F33/E33*100</f>
        <v>92.67552675357341</v>
      </c>
      <c r="I33" s="56">
        <f>F33-D33</f>
        <v>-51990.73</v>
      </c>
      <c r="J33" s="56">
        <f aca="true" t="shared" si="16" ref="J33:J72">F33/D33*100</f>
        <v>44.4341641194451</v>
      </c>
      <c r="K33" s="141">
        <f>F33-46836.9</f>
        <v>-5261.630000000005</v>
      </c>
      <c r="L33" s="142">
        <f>F33/46836.9</f>
        <v>0.8876605838558913</v>
      </c>
      <c r="M33" s="40">
        <f>E33-червень!E33</f>
        <v>6579.879999999997</v>
      </c>
      <c r="N33" s="40">
        <f>F33-червень!F33</f>
        <v>1742.2099999999991</v>
      </c>
      <c r="O33" s="53">
        <f t="shared" si="3"/>
        <v>-4837.669999999998</v>
      </c>
      <c r="P33" s="56">
        <f aca="true" t="shared" si="17" ref="P33:P67">N33/M33*100</f>
        <v>26.47783850161401</v>
      </c>
      <c r="Q33" s="141">
        <f>N33-6866.9</f>
        <v>-5124.6900000000005</v>
      </c>
      <c r="R33" s="142">
        <f>N33/6866.9</f>
        <v>0.2537112816554776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31073.26</v>
      </c>
      <c r="G55" s="144">
        <f t="shared" si="14"/>
        <v>-2037.5499999999993</v>
      </c>
      <c r="H55" s="146">
        <f t="shared" si="15"/>
        <v>93.84626954157872</v>
      </c>
      <c r="I55" s="145">
        <f t="shared" si="18"/>
        <v>-39192.740000000005</v>
      </c>
      <c r="J55" s="145">
        <f t="shared" si="16"/>
        <v>44.22232658753878</v>
      </c>
      <c r="K55" s="148">
        <f>F55-33694.14</f>
        <v>-2620.880000000001</v>
      </c>
      <c r="L55" s="149">
        <f>F55/33694.14</f>
        <v>0.9222155543961057</v>
      </c>
      <c r="M55" s="40">
        <f>E55-червень!E55</f>
        <v>4779.879999999997</v>
      </c>
      <c r="N55" s="40">
        <f>F55-червень!F55</f>
        <v>1306.6699999999983</v>
      </c>
      <c r="O55" s="148">
        <f t="shared" si="3"/>
        <v>-3473.209999999999</v>
      </c>
      <c r="P55" s="148">
        <f t="shared" si="17"/>
        <v>27.336878750094122</v>
      </c>
      <c r="Q55" s="163">
        <f>N55-4878.99</f>
        <v>-3572.3200000000015</v>
      </c>
      <c r="R55" s="164">
        <f>N55/4878.99</f>
        <v>0.26781567496551506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0.36+3743.5</f>
        <v>3743.86</v>
      </c>
      <c r="G56" s="49">
        <f t="shared" si="14"/>
        <v>-206.44000000000005</v>
      </c>
      <c r="H56" s="40">
        <f t="shared" si="15"/>
        <v>94.77406779231957</v>
      </c>
      <c r="I56" s="56">
        <f t="shared" si="18"/>
        <v>-3116.14</v>
      </c>
      <c r="J56" s="56">
        <f t="shared" si="16"/>
        <v>54.57521865889213</v>
      </c>
      <c r="K56" s="56">
        <f>F56-3653.5</f>
        <v>90.36000000000013</v>
      </c>
      <c r="L56" s="135">
        <f>F56/3653.5</f>
        <v>1.0247324483372109</v>
      </c>
      <c r="M56" s="40">
        <f>E56-червень!E56</f>
        <v>552</v>
      </c>
      <c r="N56" s="40">
        <f>F56-червень!F56</f>
        <v>477.78999999999996</v>
      </c>
      <c r="O56" s="53">
        <f t="shared" si="3"/>
        <v>-74.21000000000004</v>
      </c>
      <c r="P56" s="56">
        <f t="shared" si="17"/>
        <v>86.55615942028984</v>
      </c>
      <c r="Q56" s="56">
        <f>N56-464.2</f>
        <v>13.589999999999975</v>
      </c>
      <c r="R56" s="135">
        <f>N56/464.2</f>
        <v>1.029276174062904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7293.53</v>
      </c>
      <c r="G74" s="50">
        <f aca="true" t="shared" si="24" ref="G74:G92">F74-E74</f>
        <v>-1685.4700000000003</v>
      </c>
      <c r="H74" s="51">
        <f aca="true" t="shared" si="25" ref="H74:H87">F74/E74*100</f>
        <v>81.22875598619</v>
      </c>
      <c r="I74" s="36">
        <f aca="true" t="shared" si="26" ref="I74:I92">F74-D74</f>
        <v>-11064.77</v>
      </c>
      <c r="J74" s="36">
        <f aca="true" t="shared" si="27" ref="J74:J92">F74/D74*100</f>
        <v>39.72878752389927</v>
      </c>
      <c r="K74" s="36">
        <f>F74-11260</f>
        <v>-3966.4700000000003</v>
      </c>
      <c r="L74" s="136">
        <f>F74/11260</f>
        <v>0.6477380106571936</v>
      </c>
      <c r="M74" s="22">
        <f>M77+M86+M88+M89+M94+M95+M96+M97+M99+M87+M104</f>
        <v>1550.5</v>
      </c>
      <c r="N74" s="22">
        <f>N77+N86+N88+N89+N94+N95+N96+N97+N99+N32+N104+N87+N103</f>
        <v>951.9500000000006</v>
      </c>
      <c r="O74" s="55">
        <f aca="true" t="shared" si="28" ref="O74:O92">N74-M74</f>
        <v>-598.5499999999994</v>
      </c>
      <c r="P74" s="36">
        <f>N74/M74*100</f>
        <v>61.39632376652696</v>
      </c>
      <c r="Q74" s="36">
        <f>N74-2110.7</f>
        <v>-1158.749999999999</v>
      </c>
      <c r="R74" s="136">
        <f>N74/2110.7</f>
        <v>0.4510115127682763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68.99</v>
      </c>
      <c r="G89" s="49">
        <f t="shared" si="24"/>
        <v>-30.010000000000005</v>
      </c>
      <c r="H89" s="40">
        <f>F89/E89*100</f>
        <v>69.68686868686869</v>
      </c>
      <c r="I89" s="56">
        <f t="shared" si="26"/>
        <v>-106.01</v>
      </c>
      <c r="J89" s="56">
        <f t="shared" si="27"/>
        <v>39.42285714285714</v>
      </c>
      <c r="K89" s="56">
        <f>F89-94</f>
        <v>-25.010000000000005</v>
      </c>
      <c r="L89" s="135">
        <f>F89/94</f>
        <v>0.7339361702127659</v>
      </c>
      <c r="M89" s="40">
        <f>E89-червень!E89</f>
        <v>15</v>
      </c>
      <c r="N89" s="40">
        <f>F89-червень!F89</f>
        <v>7.219999999999992</v>
      </c>
      <c r="O89" s="53">
        <f t="shared" si="28"/>
        <v>-7.780000000000008</v>
      </c>
      <c r="P89" s="56">
        <f>N89/M89*100</f>
        <v>48.133333333333276</v>
      </c>
      <c r="Q89" s="56">
        <f>N89-12.8</f>
        <v>-5.580000000000009</v>
      </c>
      <c r="R89" s="135">
        <f>N89/12.8</f>
        <v>0.5640624999999994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479.75</v>
      </c>
      <c r="G96" s="49">
        <f t="shared" si="31"/>
        <v>-124.75</v>
      </c>
      <c r="H96" s="40">
        <f>F96/E96*100</f>
        <v>79.36311000827129</v>
      </c>
      <c r="I96" s="56">
        <f t="shared" si="32"/>
        <v>-720.25</v>
      </c>
      <c r="J96" s="56">
        <f>F96/D96*100</f>
        <v>39.979166666666664</v>
      </c>
      <c r="K96" s="56">
        <f>F96-602.5</f>
        <v>-122.75</v>
      </c>
      <c r="L96" s="135">
        <f>F96/602.5</f>
        <v>0.796265560165975</v>
      </c>
      <c r="M96" s="40">
        <f>E96-червень!E96</f>
        <v>130</v>
      </c>
      <c r="N96" s="40">
        <f>F96-червень!F96</f>
        <v>64.42000000000002</v>
      </c>
      <c r="O96" s="53">
        <f t="shared" si="33"/>
        <v>-65.57999999999998</v>
      </c>
      <c r="P96" s="56">
        <f>N96/M96*100</f>
        <v>49.553846153846166</v>
      </c>
      <c r="Q96" s="56">
        <f>N96-139.4</f>
        <v>-74.97999999999999</v>
      </c>
      <c r="R96" s="135">
        <f>N96/139.4</f>
        <v>0.46212338593974184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2257.53</v>
      </c>
      <c r="G99" s="49">
        <f t="shared" si="31"/>
        <v>70.5300000000002</v>
      </c>
      <c r="H99" s="40">
        <f>F99/E99*100</f>
        <v>103.2249657064472</v>
      </c>
      <c r="I99" s="56">
        <f t="shared" si="32"/>
        <v>-2315.1699999999996</v>
      </c>
      <c r="J99" s="56">
        <f>F99/D99*100</f>
        <v>49.3697377916767</v>
      </c>
      <c r="K99" s="56">
        <f>F99-2623.7</f>
        <v>-366.1699999999996</v>
      </c>
      <c r="L99" s="135">
        <f>F99/2623.7</f>
        <v>0.8604375500247743</v>
      </c>
      <c r="M99" s="40">
        <f>E99-червень!E99</f>
        <v>350</v>
      </c>
      <c r="N99" s="40">
        <f>F99-червень!F99</f>
        <v>288.2500000000002</v>
      </c>
      <c r="O99" s="53">
        <f t="shared" si="33"/>
        <v>-61.74999999999977</v>
      </c>
      <c r="P99" s="56">
        <f>N99/M99*100</f>
        <v>82.35714285714292</v>
      </c>
      <c r="Q99" s="56">
        <f>N99-632</f>
        <v>-343.7499999999998</v>
      </c>
      <c r="R99" s="135">
        <f>N99/632</f>
        <v>0.4560917721518991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449.2</v>
      </c>
      <c r="G102" s="144"/>
      <c r="H102" s="146"/>
      <c r="I102" s="145"/>
      <c r="J102" s="145"/>
      <c r="K102" s="148">
        <f>F102-325</f>
        <v>124.19999999999999</v>
      </c>
      <c r="L102" s="149">
        <f>F102/325</f>
        <v>1.382153846153846</v>
      </c>
      <c r="M102" s="40">
        <f>E102-червень!E102</f>
        <v>0</v>
      </c>
      <c r="N102" s="40">
        <f>F102-червень!F102</f>
        <v>85.89999999999998</v>
      </c>
      <c r="O102" s="53"/>
      <c r="P102" s="60"/>
      <c r="Q102" s="60">
        <f>N102-80.2</f>
        <v>5.699999999999974</v>
      </c>
      <c r="R102" s="138">
        <f>N102/80.2</f>
        <v>1.0710723192019946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255392.31999999998</v>
      </c>
      <c r="G107" s="50">
        <f>F107-E107</f>
        <v>-24839.589999999997</v>
      </c>
      <c r="H107" s="51">
        <f>F107/E107*100</f>
        <v>91.13605941593161</v>
      </c>
      <c r="I107" s="36">
        <f t="shared" si="34"/>
        <v>-251487.28</v>
      </c>
      <c r="J107" s="36">
        <f t="shared" si="36"/>
        <v>50.3852039024652</v>
      </c>
      <c r="K107" s="36">
        <f>F107-279160.4</f>
        <v>-23768.080000000045</v>
      </c>
      <c r="L107" s="136">
        <f>F107/279160.4</f>
        <v>0.9148586977236025</v>
      </c>
      <c r="M107" s="22">
        <f>M8+M74+M105+M106</f>
        <v>39521.680000000015</v>
      </c>
      <c r="N107" s="22">
        <f>N8+N74+N105+N106</f>
        <v>22617.729999999996</v>
      </c>
      <c r="O107" s="55">
        <f t="shared" si="35"/>
        <v>-16903.95000000002</v>
      </c>
      <c r="P107" s="36">
        <f>N107/M107*100</f>
        <v>57.228665380621436</v>
      </c>
      <c r="Q107" s="36">
        <f>N107-42056.4</f>
        <v>-19438.670000000006</v>
      </c>
      <c r="R107" s="136">
        <f>N107/42056.4</f>
        <v>0.53779519882824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202904.53</v>
      </c>
      <c r="G108" s="71">
        <f>G10-G18+G96</f>
        <v>-19071.070000000007</v>
      </c>
      <c r="H108" s="72">
        <f>F108/E108*100</f>
        <v>91.40848363513827</v>
      </c>
      <c r="I108" s="52">
        <f t="shared" si="34"/>
        <v>-185308.67</v>
      </c>
      <c r="J108" s="52">
        <f t="shared" si="36"/>
        <v>52.266262455784606</v>
      </c>
      <c r="K108" s="52">
        <f>F108-212017.3</f>
        <v>-9112.76999999999</v>
      </c>
      <c r="L108" s="137">
        <f>F108/212017.3</f>
        <v>0.9570187432817983</v>
      </c>
      <c r="M108" s="71">
        <f>M10-M18+M96</f>
        <v>30954.800000000017</v>
      </c>
      <c r="N108" s="71">
        <f>N10-N18+N96</f>
        <v>19491.069999999992</v>
      </c>
      <c r="O108" s="53">
        <f t="shared" si="35"/>
        <v>-11463.730000000025</v>
      </c>
      <c r="P108" s="52">
        <f>N108/M108*100</f>
        <v>62.96622817785927</v>
      </c>
      <c r="Q108" s="52">
        <f>N108-32331.5</f>
        <v>-12840.430000000008</v>
      </c>
      <c r="R108" s="137">
        <f>N108/32331.5</f>
        <v>0.6028507801988771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52487.78999999998</v>
      </c>
      <c r="G109" s="62">
        <f>F109-E109</f>
        <v>-5768.5199999999895</v>
      </c>
      <c r="H109" s="72">
        <f>F109/E109*100</f>
        <v>90.09803401554271</v>
      </c>
      <c r="I109" s="52">
        <f t="shared" si="34"/>
        <v>-66178.60999999999</v>
      </c>
      <c r="J109" s="52">
        <f t="shared" si="36"/>
        <v>44.23138310423169</v>
      </c>
      <c r="K109" s="52">
        <f>F109-67143.1</f>
        <v>-14655.310000000027</v>
      </c>
      <c r="L109" s="137">
        <f>F109/67143.1</f>
        <v>0.7817302150183708</v>
      </c>
      <c r="M109" s="71">
        <f>M107-M108</f>
        <v>8566.879999999997</v>
      </c>
      <c r="N109" s="71">
        <f>N107-N108</f>
        <v>3126.6600000000035</v>
      </c>
      <c r="O109" s="53">
        <f t="shared" si="35"/>
        <v>-5440.219999999994</v>
      </c>
      <c r="P109" s="52">
        <f>N109/M109*100</f>
        <v>36.49706777730054</v>
      </c>
      <c r="Q109" s="52">
        <f>N109-9724.9</f>
        <v>-6598.239999999996</v>
      </c>
      <c r="R109" s="137">
        <f>N109/9924.9</f>
        <v>0.31503188949007077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202904.53</v>
      </c>
      <c r="G110" s="111">
        <f>F110-E110</f>
        <v>-13701.170000000013</v>
      </c>
      <c r="H110" s="72">
        <f>F110/E110*100</f>
        <v>93.67460320757948</v>
      </c>
      <c r="I110" s="81">
        <f t="shared" si="34"/>
        <v>-185308.67</v>
      </c>
      <c r="J110" s="52">
        <f t="shared" si="36"/>
        <v>52.266262455784606</v>
      </c>
      <c r="K110" s="52"/>
      <c r="L110" s="137"/>
      <c r="M110" s="72">
        <f>E110-травень!E109</f>
        <v>65489.30000000002</v>
      </c>
      <c r="N110" s="71">
        <f>N108</f>
        <v>19491.069999999992</v>
      </c>
      <c r="O110" s="118">
        <f t="shared" si="35"/>
        <v>-45998.230000000025</v>
      </c>
      <c r="P110" s="52">
        <f>N110/M110*100</f>
        <v>29.762220698648463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702.06</v>
      </c>
      <c r="G115" s="49">
        <f t="shared" si="37"/>
        <v>-1322.54</v>
      </c>
      <c r="H115" s="40">
        <f aca="true" t="shared" si="39" ref="H115:H126">F115/E115*100</f>
        <v>34.676479304553986</v>
      </c>
      <c r="I115" s="60">
        <f t="shared" si="38"/>
        <v>-2969.44</v>
      </c>
      <c r="J115" s="60">
        <f aca="true" t="shared" si="40" ref="J115:J121">F115/D115*100</f>
        <v>19.12188478823369</v>
      </c>
      <c r="K115" s="60">
        <f>F115-2198.8</f>
        <v>-1496.7400000000002</v>
      </c>
      <c r="L115" s="138">
        <f>F115/2198.8</f>
        <v>0.3192923412770602</v>
      </c>
      <c r="M115" s="40">
        <f>E115-червень!E115</f>
        <v>327.5</v>
      </c>
      <c r="N115" s="40">
        <f>F115-червень!F115</f>
        <v>95.9799999999999</v>
      </c>
      <c r="O115" s="53">
        <f aca="true" t="shared" si="41" ref="O115:O126">N115-M115</f>
        <v>-231.5200000000001</v>
      </c>
      <c r="P115" s="60">
        <f>N115/M115*100</f>
        <v>29.306870229007604</v>
      </c>
      <c r="Q115" s="60">
        <f>N115-307.3</f>
        <v>-211.3200000000001</v>
      </c>
      <c r="R115" s="138">
        <f>N115/307.3</f>
        <v>0.31233322486169834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884.26</v>
      </c>
      <c r="G117" s="62">
        <f t="shared" si="37"/>
        <v>-1296.84</v>
      </c>
      <c r="H117" s="72">
        <f t="shared" si="39"/>
        <v>40.541928384759984</v>
      </c>
      <c r="I117" s="61">
        <f t="shared" si="38"/>
        <v>-3055.34</v>
      </c>
      <c r="J117" s="61">
        <f t="shared" si="40"/>
        <v>22.445425931566657</v>
      </c>
      <c r="K117" s="61">
        <f>F117-2366</f>
        <v>-1481.74</v>
      </c>
      <c r="L117" s="139">
        <f>F117/2366</f>
        <v>0.37373626373626373</v>
      </c>
      <c r="M117" s="62">
        <f>M115+M116+M114</f>
        <v>349.5</v>
      </c>
      <c r="N117" s="38">
        <f>SUM(N114:N116)</f>
        <v>114.1099999999999</v>
      </c>
      <c r="O117" s="61">
        <f t="shared" si="41"/>
        <v>-235.3900000000001</v>
      </c>
      <c r="P117" s="61">
        <f>N117/M117*100</f>
        <v>32.64949928469239</v>
      </c>
      <c r="Q117" s="61">
        <f>N117-335.5</f>
        <v>-221.3900000000001</v>
      </c>
      <c r="R117" s="139">
        <f>N117/335.5</f>
        <v>0.3401192250372575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155.16</v>
      </c>
      <c r="G119" s="49">
        <f t="shared" si="37"/>
        <v>-27.340000000000003</v>
      </c>
      <c r="H119" s="40">
        <f t="shared" si="39"/>
        <v>85.01917808219179</v>
      </c>
      <c r="I119" s="60">
        <f t="shared" si="38"/>
        <v>-112.03999999999999</v>
      </c>
      <c r="J119" s="60">
        <f t="shared" si="40"/>
        <v>58.068862275449106</v>
      </c>
      <c r="K119" s="60">
        <f>F119-172.6</f>
        <v>-17.439999999999998</v>
      </c>
      <c r="L119" s="138">
        <f>F119/172.6</f>
        <v>0.8989571263035921</v>
      </c>
      <c r="M119" s="40">
        <f>E119-червень!E119</f>
        <v>73</v>
      </c>
      <c r="N119" s="40">
        <f>F119-червень!F119</f>
        <v>16.879999999999995</v>
      </c>
      <c r="O119" s="53">
        <f>N119-M119</f>
        <v>-56.120000000000005</v>
      </c>
      <c r="P119" s="60">
        <f>N119/M119*100</f>
        <v>23.12328767123287</v>
      </c>
      <c r="Q119" s="60">
        <f>N119-76.8</f>
        <v>-59.92</v>
      </c>
      <c r="R119" s="138">
        <f>N119/76.8</f>
        <v>0.2197916666666666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42774.91</v>
      </c>
      <c r="G120" s="49">
        <f t="shared" si="37"/>
        <v>1462.310000000005</v>
      </c>
      <c r="H120" s="40">
        <f t="shared" si="39"/>
        <v>103.53962229440899</v>
      </c>
      <c r="I120" s="53">
        <f t="shared" si="38"/>
        <v>-29201.08</v>
      </c>
      <c r="J120" s="60">
        <f t="shared" si="40"/>
        <v>59.429415281401475</v>
      </c>
      <c r="K120" s="60">
        <f>F120-39659.2</f>
        <v>3115.7100000000064</v>
      </c>
      <c r="L120" s="138">
        <f>F120/39659.2</f>
        <v>1.0785620990841975</v>
      </c>
      <c r="M120" s="40">
        <f>E120-червень!E120</f>
        <v>7100</v>
      </c>
      <c r="N120" s="40">
        <f>F120-червень!F120</f>
        <v>4721.200000000004</v>
      </c>
      <c r="O120" s="53">
        <f t="shared" si="41"/>
        <v>-2378.7999999999956</v>
      </c>
      <c r="P120" s="60">
        <f aca="true" t="shared" si="42" ref="P120:P125">N120/M120*100</f>
        <v>66.49577464788739</v>
      </c>
      <c r="Q120" s="60">
        <v>7148.5</v>
      </c>
      <c r="R120" s="138">
        <f>N120/7148.5</f>
        <v>0.6604462474645036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2218.05</v>
      </c>
      <c r="G122" s="49">
        <f t="shared" si="37"/>
        <v>-5014.45</v>
      </c>
      <c r="H122" s="40">
        <f t="shared" si="39"/>
        <v>30.66781887314207</v>
      </c>
      <c r="I122" s="60">
        <f t="shared" si="38"/>
        <v>-20859.95</v>
      </c>
      <c r="J122" s="60">
        <f>F122/D122*100</f>
        <v>9.611101481930843</v>
      </c>
      <c r="K122" s="60">
        <f>F122-14177.3</f>
        <v>-11959.25</v>
      </c>
      <c r="L122" s="138">
        <f>F122/14177.3</f>
        <v>0.156450805160362</v>
      </c>
      <c r="M122" s="40">
        <f>E122-червень!E122</f>
        <v>2409.8999999999996</v>
      </c>
      <c r="N122" s="40">
        <f>F122-червень!F122</f>
        <v>100.92000000000007</v>
      </c>
      <c r="O122" s="53">
        <f t="shared" si="41"/>
        <v>-2308.9799999999996</v>
      </c>
      <c r="P122" s="60">
        <f t="shared" si="42"/>
        <v>4.187725631768957</v>
      </c>
      <c r="Q122" s="60">
        <f>N122-329.4</f>
        <v>-228.4799999999999</v>
      </c>
      <c r="R122" s="138">
        <f>N122/329.4</f>
        <v>0.30637522768670333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47590.460000000014</v>
      </c>
      <c r="G124" s="62">
        <f t="shared" si="37"/>
        <v>-3872.1799999999857</v>
      </c>
      <c r="H124" s="72">
        <f t="shared" si="39"/>
        <v>92.47574551169551</v>
      </c>
      <c r="I124" s="61">
        <f t="shared" si="38"/>
        <v>-59730.72999999999</v>
      </c>
      <c r="J124" s="61">
        <f>F124/D124*100</f>
        <v>44.34395481451521</v>
      </c>
      <c r="K124" s="61">
        <f>F124-56479.4</f>
        <v>-8888.939999999988</v>
      </c>
      <c r="L124" s="139">
        <f>F124/56479.4</f>
        <v>0.8426162459232927</v>
      </c>
      <c r="M124" s="62">
        <f>M120+M121+M122+M123+M119</f>
        <v>9788.49</v>
      </c>
      <c r="N124" s="62">
        <f>N120+N121+N122+N123+N119</f>
        <v>4894.090000000005</v>
      </c>
      <c r="O124" s="61">
        <f t="shared" si="41"/>
        <v>-4894.399999999995</v>
      </c>
      <c r="P124" s="61">
        <f t="shared" si="42"/>
        <v>49.99841650755126</v>
      </c>
      <c r="Q124" s="61">
        <f>N124-8200.3</f>
        <v>-3306.2099999999946</v>
      </c>
      <c r="R124" s="139">
        <f>N124/8200.3</f>
        <v>0.5968184090825952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5301.1</v>
      </c>
      <c r="G128" s="49">
        <f aca="true" t="shared" si="43" ref="G128:G135">F128-E128</f>
        <v>285.60000000000036</v>
      </c>
      <c r="H128" s="40">
        <f>F128/E128*100</f>
        <v>105.69434752267969</v>
      </c>
      <c r="I128" s="60">
        <f aca="true" t="shared" si="44" ref="I128:I135">F128-D128</f>
        <v>-3398.8999999999996</v>
      </c>
      <c r="J128" s="60">
        <f>F128/D128*100</f>
        <v>60.93218390804598</v>
      </c>
      <c r="K128" s="60">
        <f>F128-6320.8</f>
        <v>-1019.6999999999998</v>
      </c>
      <c r="L128" s="138">
        <f>F128/6320.8</f>
        <v>0.8386754841159347</v>
      </c>
      <c r="M128" s="40">
        <f>E128-червень!E128</f>
        <v>3</v>
      </c>
      <c r="N128" s="40">
        <f>F128-червень!F128</f>
        <v>5.539999999999964</v>
      </c>
      <c r="O128" s="53">
        <f aca="true" t="shared" si="45" ref="O128:O135">N128-M128</f>
        <v>2.5399999999999636</v>
      </c>
      <c r="P128" s="60">
        <f>N128/M128*100</f>
        <v>184.66666666666544</v>
      </c>
      <c r="Q128" s="60">
        <f>N128-19.4</f>
        <v>-13.860000000000035</v>
      </c>
      <c r="R128" s="162">
        <f>N128/19.4</f>
        <v>0.2855670103092765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5333.4400000000005</v>
      </c>
      <c r="G130" s="62">
        <f t="shared" si="43"/>
        <v>291.58000000000084</v>
      </c>
      <c r="H130" s="72">
        <f>F130/E130*100</f>
        <v>105.78318319033058</v>
      </c>
      <c r="I130" s="61">
        <f t="shared" si="44"/>
        <v>-3417.26</v>
      </c>
      <c r="J130" s="61">
        <f>F130/D130*100</f>
        <v>60.948724102071836</v>
      </c>
      <c r="K130" s="61">
        <f>F130-6438.4</f>
        <v>-1104.9599999999991</v>
      </c>
      <c r="L130" s="139">
        <f>G130/6438.4</f>
        <v>0.04528764910536793</v>
      </c>
      <c r="M130" s="62">
        <f>M125+M128+M129+M127</f>
        <v>5</v>
      </c>
      <c r="N130" s="62">
        <f>N125+N128+N129+N127</f>
        <v>5.689999999999964</v>
      </c>
      <c r="O130" s="61">
        <f t="shared" si="45"/>
        <v>0.689999999999964</v>
      </c>
      <c r="P130" s="61">
        <f>N130/M130*100</f>
        <v>113.79999999999927</v>
      </c>
      <c r="Q130" s="61">
        <f>N130-28.2</f>
        <v>-22.510000000000034</v>
      </c>
      <c r="R130" s="137">
        <f>N130/28.2</f>
        <v>0.2017730496453888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53830.150000000016</v>
      </c>
      <c r="G134" s="50">
        <f t="shared" si="43"/>
        <v>-4871.499999999985</v>
      </c>
      <c r="H134" s="51">
        <f>F134/E134*100</f>
        <v>91.70125541615953</v>
      </c>
      <c r="I134" s="36">
        <f t="shared" si="44"/>
        <v>-66211.34</v>
      </c>
      <c r="J134" s="36">
        <f>F134/D134*100</f>
        <v>44.84295388202864</v>
      </c>
      <c r="K134" s="36">
        <f>F134-65301.1</f>
        <v>-11470.949999999983</v>
      </c>
      <c r="L134" s="136">
        <f>F134/65301.1</f>
        <v>0.8243375685861344</v>
      </c>
      <c r="M134" s="31">
        <f>M117+M131+M124+M130+M133+M132</f>
        <v>10143.39</v>
      </c>
      <c r="N134" s="31">
        <f>N117+N131+N124+N130+N133+N132</f>
        <v>5014.760000000004</v>
      </c>
      <c r="O134" s="36">
        <f t="shared" si="45"/>
        <v>-5128.629999999996</v>
      </c>
      <c r="P134" s="36">
        <f>N134/M134*100</f>
        <v>49.43869850217732</v>
      </c>
      <c r="Q134" s="36">
        <f>N134-8564.5</f>
        <v>-3549.739999999996</v>
      </c>
      <c r="R134" s="136">
        <f>N134/8564.5</f>
        <v>0.5855286356471485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309222.47</v>
      </c>
      <c r="G135" s="50">
        <f t="shared" si="43"/>
        <v>-29711.090000000026</v>
      </c>
      <c r="H135" s="51">
        <f>F135/E135*100</f>
        <v>91.2339486240312</v>
      </c>
      <c r="I135" s="36">
        <f t="shared" si="44"/>
        <v>-317698.62</v>
      </c>
      <c r="J135" s="36">
        <f>F135/D135*100</f>
        <v>49.3239858943013</v>
      </c>
      <c r="K135" s="36">
        <f>F135-344461.4</f>
        <v>-35238.93000000005</v>
      </c>
      <c r="L135" s="136">
        <f>F135/344461.4</f>
        <v>0.8976984649078241</v>
      </c>
      <c r="M135" s="22">
        <f>M107+M134</f>
        <v>49665.070000000014</v>
      </c>
      <c r="N135" s="22">
        <f>N107+N134</f>
        <v>27632.489999999998</v>
      </c>
      <c r="O135" s="36">
        <f t="shared" si="45"/>
        <v>-22032.580000000016</v>
      </c>
      <c r="P135" s="36">
        <f>N135/M135*100</f>
        <v>55.63767452658376</v>
      </c>
      <c r="Q135" s="36">
        <f>N135-50620.9</f>
        <v>-22988.410000000003</v>
      </c>
      <c r="R135" s="136">
        <f>N135/50620.9</f>
        <v>0.5458711717887276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9</v>
      </c>
      <c r="D137" s="4" t="s">
        <v>118</v>
      </c>
    </row>
    <row r="138" spans="2:17" ht="31.5">
      <c r="B138" s="78" t="s">
        <v>154</v>
      </c>
      <c r="C138" s="39">
        <f>IF(O107&lt;0,ABS(O107/C137),0)</f>
        <v>1878.2166666666687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41838</v>
      </c>
      <c r="D139" s="39">
        <v>1875.9</v>
      </c>
      <c r="N139" s="195"/>
      <c r="O139" s="195"/>
    </row>
    <row r="140" spans="3:15" ht="15.75">
      <c r="C140" s="120">
        <v>41837</v>
      </c>
      <c r="D140" s="39">
        <v>779.9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41836</v>
      </c>
      <c r="D141" s="39">
        <v>1408.5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117625.58061</v>
      </c>
      <c r="E143" s="80"/>
      <c r="F143" s="100" t="s">
        <v>147</v>
      </c>
      <c r="G143" s="196" t="s">
        <v>149</v>
      </c>
      <c r="H143" s="196"/>
      <c r="I143" s="116">
        <v>103800.35865000001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37531.63486999999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37531.63486999999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2014-07-18T10:52:14Z</cp:lastPrinted>
  <dcterms:created xsi:type="dcterms:W3CDTF">2003-07-28T11:27:56Z</dcterms:created>
  <dcterms:modified xsi:type="dcterms:W3CDTF">2014-07-21T08:17:35Z</dcterms:modified>
  <cp:category/>
  <cp:version/>
  <cp:contentType/>
  <cp:contentStatus/>
</cp:coreProperties>
</file>